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10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TOTAL" sheetId="5" r:id="rId10"/>
    <sheet name="menores" sheetId="6" r:id="rId11"/>
  </sheets>
  <definedNames>
    <definedName name="_xlnm.Print_Area" localSheetId="10">menores!$A$1:$F$21</definedName>
    <definedName name="_xlnm.Print_Area" localSheetId="9">TOTAL!$A$1:$F$21</definedName>
  </definedNames>
  <calcPr calcId="145621"/>
</workbook>
</file>

<file path=xl/calcChain.xml><?xml version="1.0" encoding="utf-8"?>
<calcChain xmlns="http://schemas.openxmlformats.org/spreadsheetml/2006/main">
  <c r="E18" i="6" l="1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F3" i="74"/>
  <c r="E12" i="6" s="1"/>
  <c r="H20" i="73"/>
  <c r="G20" i="73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F3" i="40"/>
  <c r="E20" i="6" s="1"/>
  <c r="H20" i="39"/>
  <c r="G20" i="39"/>
  <c r="B17" i="6" s="1"/>
  <c r="F20" i="39"/>
  <c r="D20" i="39"/>
  <c r="B20" i="39"/>
  <c r="A20" i="39"/>
  <c r="C20" i="39" s="1"/>
  <c r="I6" i="39" s="1"/>
  <c r="I17" i="39"/>
  <c r="I16" i="39"/>
  <c r="I15" i="39"/>
  <c r="I14" i="39"/>
  <c r="I13" i="39"/>
  <c r="I12" i="39"/>
  <c r="I11" i="39"/>
  <c r="I10" i="39"/>
  <c r="I9" i="39"/>
  <c r="I8" i="39"/>
  <c r="I7" i="39"/>
  <c r="F3" i="39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A20" i="72" l="1"/>
  <c r="C20" i="72" s="1"/>
  <c r="C20" i="71"/>
  <c r="I6" i="71" s="1"/>
  <c r="F16" i="6"/>
  <c r="F8" i="6"/>
  <c r="F6" i="6"/>
  <c r="F20" i="6"/>
  <c r="F12" i="6"/>
  <c r="F18" i="6"/>
  <c r="F14" i="6"/>
  <c r="F10" i="6"/>
  <c r="I3" i="71"/>
  <c r="A20" i="73"/>
  <c r="C20" i="73" s="1"/>
  <c r="I6" i="73" s="1"/>
  <c r="A20" i="75"/>
  <c r="C20" i="75" s="1"/>
  <c r="I6" i="75" s="1"/>
  <c r="A20" i="70"/>
  <c r="C20" i="70" s="1"/>
  <c r="I6" i="70" s="1"/>
  <c r="A20" i="74"/>
  <c r="C20" i="74" s="1"/>
  <c r="I6" i="74" s="1"/>
  <c r="I5" i="39"/>
  <c r="I4" i="39"/>
  <c r="E20" i="39" s="1"/>
  <c r="E3" i="39" s="1"/>
  <c r="E19" i="5" s="1"/>
  <c r="F19" i="5" s="1"/>
  <c r="I3" i="39"/>
  <c r="A20" i="38"/>
  <c r="C20" i="38" s="1"/>
  <c r="I6" i="38" s="1"/>
  <c r="A20" i="40"/>
  <c r="C20" i="40" s="1"/>
  <c r="I6" i="40" s="1"/>
  <c r="F4" i="6"/>
  <c r="I6" i="72" l="1"/>
  <c r="I4" i="72"/>
  <c r="I3" i="72"/>
  <c r="I5" i="72"/>
  <c r="E20" i="72"/>
  <c r="E3" i="72" s="1"/>
  <c r="E14" i="5" s="1"/>
  <c r="F14" i="5" s="1"/>
  <c r="I5" i="71"/>
  <c r="I4" i="71"/>
  <c r="E20" i="71"/>
  <c r="H22" i="71" s="1"/>
  <c r="H23" i="71" s="1"/>
  <c r="F21" i="6"/>
  <c r="I5" i="73"/>
  <c r="I4" i="73"/>
  <c r="I3" i="73"/>
  <c r="I3" i="75"/>
  <c r="I5" i="75"/>
  <c r="I4" i="75"/>
  <c r="I4" i="74"/>
  <c r="E20" i="74" s="1"/>
  <c r="I5" i="74"/>
  <c r="I3" i="74"/>
  <c r="I4" i="70"/>
  <c r="E20" i="70" s="1"/>
  <c r="E3" i="70" s="1"/>
  <c r="E12" i="5" s="1"/>
  <c r="F12" i="5" s="1"/>
  <c r="I5" i="70"/>
  <c r="I3" i="70"/>
  <c r="I4" i="38"/>
  <c r="E20" i="38" s="1"/>
  <c r="I3" i="38"/>
  <c r="I5" i="38"/>
  <c r="I5" i="40"/>
  <c r="I4" i="40"/>
  <c r="I3" i="40"/>
  <c r="H22" i="39"/>
  <c r="H23" i="39" s="1"/>
  <c r="E20" i="40" l="1"/>
  <c r="E20" i="75"/>
  <c r="H22" i="74"/>
  <c r="H23" i="74" s="1"/>
  <c r="E3" i="74"/>
  <c r="E16" i="5" s="1"/>
  <c r="F16" i="5" s="1"/>
  <c r="E20" i="73"/>
  <c r="H22" i="72"/>
  <c r="H23" i="72" s="1"/>
  <c r="E3" i="71"/>
  <c r="E13" i="5" s="1"/>
  <c r="F13" i="5" s="1"/>
  <c r="E3" i="73"/>
  <c r="E15" i="5" s="1"/>
  <c r="F15" i="5" s="1"/>
  <c r="H22" i="73"/>
  <c r="H23" i="73" s="1"/>
  <c r="H22" i="75"/>
  <c r="H23" i="75" s="1"/>
  <c r="E3" i="75"/>
  <c r="E17" i="5" s="1"/>
  <c r="F17" i="5" s="1"/>
  <c r="H22" i="70"/>
  <c r="H23" i="70" s="1"/>
  <c r="H22" i="40"/>
  <c r="H23" i="40" s="1"/>
  <c r="E3" i="40"/>
  <c r="E20" i="5" s="1"/>
  <c r="F20" i="5" s="1"/>
  <c r="H22" i="38"/>
  <c r="H23" i="38" s="1"/>
  <c r="E3" i="38"/>
  <c r="E18" i="5" s="1"/>
  <c r="F18" i="5" s="1"/>
  <c r="F21" i="5" l="1"/>
  <c r="G12" i="5"/>
</calcChain>
</file>

<file path=xl/sharedStrings.xml><?xml version="1.0" encoding="utf-8"?>
<sst xmlns="http://schemas.openxmlformats.org/spreadsheetml/2006/main" count="313" uniqueCount="59">
  <si>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</si>
  <si>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</si>
  <si>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</si>
  <si>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</si>
  <si>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</si>
  <si>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</si>
  <si>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</si>
  <si>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</si>
  <si>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</si>
  <si>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</si>
  <si>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</si>
  <si>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</si>
  <si>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</si>
  <si>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</si>
  <si>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</si>
  <si>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</si>
  <si>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</si>
  <si>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</si>
  <si>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</si>
  <si>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</si>
  <si>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</si>
  <si>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</si>
  <si>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</si>
  <si>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</si>
  <si>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</si>
  <si>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</si>
  <si>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</si>
  <si>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</si>
  <si>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</si>
  <si>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</si>
  <si>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</si>
  <si>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</si>
  <si>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</si>
  <si>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</si>
  <si>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</si>
  <si>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</si>
  <si>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</si>
  <si>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</si>
  <si>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</si>
  <si>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</si>
  <si>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</si>
  <si>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</si>
  <si>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</si>
  <si>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</si>
  <si>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</si>
  <si>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</si>
  <si>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Ultrassom Gnatus Jet Sonic</t>
  </si>
  <si>
    <t>JAT COMÉRCIO DE EQUIPAMENTOS</t>
  </si>
  <si>
    <t>MERKAPCLIN</t>
  </si>
  <si>
    <t>ODONTOBIOTECH</t>
  </si>
  <si>
    <t>HOSANA COMÉRCIO E MANUTENÇÃO</t>
  </si>
  <si>
    <t>Amalgamador Odontotmix</t>
  </si>
  <si>
    <t>Fotopolimerizador Schuster Emitter C</t>
  </si>
  <si>
    <t>Fotopolimerizador Microdent BlueStar +</t>
  </si>
  <si>
    <t>Autoclave 1 Lister</t>
  </si>
  <si>
    <t>Autoclave 2 AHMC Sercon</t>
  </si>
  <si>
    <t>Aparelho de Raio X Dabi-Atlante Spectrum 70X</t>
  </si>
  <si>
    <t>Equipamento Odontológico completo, composto de cadeiraodontológica, refletor , unidade auxiliar e equipo com 4 pontas:seringa tríplice, 1 micromotor e 2turbinas Dabi-Atlante Croma</t>
  </si>
  <si>
    <t>Equipamento Odontológico completo, composto de cadeiraodontológica, refletor, unidade auxiliar e equipo com 5 pontas;seringa tríplice, 1 micromotor, 1turbinas, 1 de jato de bicarbonato e 1de Ultrassom Kavo Aqia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</si>
</sst>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0</xdr:rowOff>
    </xdr:from>
    <xdr:to>
      <xdr:col>2</xdr:col>
      <xdr:colOff>247649</xdr:colOff>
      <xdr:row>9</xdr:row>
      <xdr:rowOff>161925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0"/>
          <a:ext cx="3190874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46</v>
      </c>
      <c r="C3" s="54" t="s">
        <v>8</v>
      </c>
      <c r="D3" s="57">
        <v>1</v>
      </c>
      <c r="E3" s="60">
        <f>IF(C20&lt;=25%,D20,MIN(E20:F20))</f>
        <v>4192</v>
      </c>
      <c r="F3" s="60">
        <f>MIN(H3:H17)</f>
        <v>3216</v>
      </c>
      <c r="G3" s="5" t="s">
        <v>47</v>
      </c>
      <c r="H3" s="14">
        <v>6000</v>
      </c>
      <c r="I3" s="30">
        <f>IF(H3="","",(IF($C$20&lt;25%,"N/A",IF(H3&lt;=($D$20+$A$20),H3,"Descartado"))))</f>
        <v>6000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3216</v>
      </c>
      <c r="I4" s="30">
        <f t="shared" ref="I4:I17" si="0">IF(H4="","",(IF($C$20&lt;25%,"N/A",IF(H4&lt;=($D$20+$A$20),H4,"Descartado"))))</f>
        <v>3216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3360</v>
      </c>
      <c r="I5" s="30">
        <f t="shared" si="0"/>
        <v>3360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18000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7021.6169078069188</v>
      </c>
      <c r="B20" s="20">
        <f>COUNT(H3:H17)</f>
        <v>4</v>
      </c>
      <c r="C20" s="21">
        <f>IF(B20&lt;2,"N/A",(A20/D20))</f>
        <v>0.9185788733394713</v>
      </c>
      <c r="D20" s="22">
        <f>ROUND(AVERAGE(H3:H17),2)</f>
        <v>7644</v>
      </c>
      <c r="E20" s="23">
        <f>IFERROR(ROUND(IF(B20&lt;2,"N/A",(IF(C20&lt;=25%,"N/A",AVERAGE(I3:I17)))),2),"N/A")</f>
        <v>4192</v>
      </c>
      <c r="F20" s="23">
        <f>ROUND(MEDIAN(H3:H17),2)</f>
        <v>4680</v>
      </c>
      <c r="G20" s="24" t="str">
        <f>INDEX(G3:G17,MATCH(H20,H3:H17,0))</f>
        <v>MERKAPCLIN</v>
      </c>
      <c r="H20" s="25">
        <f>MIN(H3:H17)</f>
        <v>3216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4192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4192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N21"/>
  <sheetViews>
    <sheetView view="pageBreakPreview" zoomScaleNormal="100" zoomScaleSheetLayoutView="100" workbookViewId="0">
      <selection activeCell="E31" sqref="E31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0" spans="1:7" ht="15.75">
      <c r="A10" s="72" t="s">
        <v>14</v>
      </c>
      <c r="B10" s="72"/>
      <c r="C10" s="72"/>
      <c r="D10" s="72"/>
      <c r="E10" s="72"/>
      <c r="F10" s="72"/>
    </row>
    <row r="11" spans="1:7" ht="25.5">
      <c r="A11" s="41" t="s">
        <v>15</v>
      </c>
      <c r="B11" s="41" t="s">
        <v>16</v>
      </c>
      <c r="C11" s="41" t="s">
        <v>17</v>
      </c>
      <c r="D11" s="41" t="s">
        <v>18</v>
      </c>
      <c r="E11" s="41" t="s">
        <v>13</v>
      </c>
      <c r="F11" s="41" t="s">
        <v>19</v>
      </c>
    </row>
    <row r="12" spans="1:7">
      <c r="A12" s="42">
        <v>1</v>
      </c>
      <c r="B12" s="43" t="str">
        <f>Item1!B3</f>
        <v>Ultrassom Gnatus Jet Sonic</v>
      </c>
      <c r="C12" s="42" t="str">
        <f>Item1!C3</f>
        <v>unidade</v>
      </c>
      <c r="D12" s="42">
        <f>Item1!D3</f>
        <v>1</v>
      </c>
      <c r="E12" s="44">
        <f>Item1!E3</f>
        <v>4192</v>
      </c>
      <c r="F12" s="44">
        <f t="shared" ref="F12:F20" si="0">(ROUND(E12,2)*D12)</f>
        <v>4192</v>
      </c>
      <c r="G12" s="3" t="str">
        <f>IF(F12&gt;80000,"necessária a subdivisão deste item em cotas!","")</f>
        <v/>
      </c>
    </row>
    <row r="13" spans="1:7">
      <c r="A13" s="42">
        <v>2</v>
      </c>
      <c r="B13" s="43" t="str">
        <f>Item2!B3</f>
        <v>Amalgamador Odontotmix</v>
      </c>
      <c r="C13" s="42" t="str">
        <f>Item2!C3</f>
        <v>unidade</v>
      </c>
      <c r="D13" s="42">
        <f>Item2!D3</f>
        <v>1</v>
      </c>
      <c r="E13" s="44">
        <f>Item2!E3</f>
        <v>2992</v>
      </c>
      <c r="F13" s="44">
        <f t="shared" si="0"/>
        <v>2992</v>
      </c>
    </row>
    <row r="14" spans="1:7">
      <c r="A14" s="42">
        <v>3</v>
      </c>
      <c r="B14" s="43" t="str">
        <f>Item3!B3</f>
        <v>Fotopolimerizador Schuster Emitter C</v>
      </c>
      <c r="C14" s="42" t="str">
        <f>Item3!C3</f>
        <v>unidade</v>
      </c>
      <c r="D14" s="42">
        <f>Item3!D3</f>
        <v>1</v>
      </c>
      <c r="E14" s="44">
        <f>Item3!E3</f>
        <v>2712</v>
      </c>
      <c r="F14" s="44">
        <f t="shared" si="0"/>
        <v>2712</v>
      </c>
    </row>
    <row r="15" spans="1:7">
      <c r="A15" s="42">
        <v>4</v>
      </c>
      <c r="B15" s="43" t="str">
        <f>Item4!B3</f>
        <v>Fotopolimerizador Microdent BlueStar +</v>
      </c>
      <c r="C15" s="42" t="str">
        <f>Item4!C3</f>
        <v>unidade</v>
      </c>
      <c r="D15" s="42">
        <f>Item4!D3</f>
        <v>1</v>
      </c>
      <c r="E15" s="44">
        <f>Item4!E3</f>
        <v>2712</v>
      </c>
      <c r="F15" s="44">
        <f t="shared" si="0"/>
        <v>2712</v>
      </c>
    </row>
    <row r="16" spans="1:7">
      <c r="A16" s="42">
        <v>5</v>
      </c>
      <c r="B16" s="43" t="str">
        <f>Item5!B3</f>
        <v>Autoclave 1 Lister</v>
      </c>
      <c r="C16" s="42" t="str">
        <f>Item5!C3</f>
        <v>unidade</v>
      </c>
      <c r="D16" s="42">
        <f>Item5!D3</f>
        <v>1</v>
      </c>
      <c r="E16" s="44">
        <f>Item5!E3</f>
        <v>6344</v>
      </c>
      <c r="F16" s="44">
        <f t="shared" si="0"/>
        <v>6344</v>
      </c>
    </row>
    <row r="17" spans="1:6">
      <c r="A17" s="42">
        <v>6</v>
      </c>
      <c r="B17" s="43" t="str">
        <f>Item6!B3</f>
        <v>Autoclave 2 AHMC Sercon</v>
      </c>
      <c r="C17" s="42" t="str">
        <f>Item6!C3</f>
        <v>unidade</v>
      </c>
      <c r="D17" s="42">
        <f>Item6!D3</f>
        <v>1</v>
      </c>
      <c r="E17" s="44">
        <f>Item6!E3</f>
        <v>8672</v>
      </c>
      <c r="F17" s="44">
        <f t="shared" si="0"/>
        <v>8672</v>
      </c>
    </row>
    <row r="18" spans="1:6" ht="25.5">
      <c r="A18" s="42">
        <v>7</v>
      </c>
      <c r="B18" s="43" t="str">
        <f>Item7!B3</f>
        <v>Equipamento Odontológico completo, composto de cadeiraodontológica, refletor , unidade auxiliar e equipo com 4 pontas:seringa tríplice, 1 micromotor e 2turbinas Dabi-Atlante Croma</v>
      </c>
      <c r="C18" s="42" t="str">
        <f>Item7!C3</f>
        <v>unidade</v>
      </c>
      <c r="D18" s="42">
        <f>Item7!D3</f>
        <v>1</v>
      </c>
      <c r="E18" s="44">
        <f>Item7!E3</f>
        <v>17694</v>
      </c>
      <c r="F18" s="44">
        <f t="shared" si="0"/>
        <v>17694</v>
      </c>
    </row>
    <row r="19" spans="1:6" ht="38.25">
      <c r="A19" s="42">
        <v>8</v>
      </c>
      <c r="B19" s="43" t="str">
        <f>Item8!B3</f>
        <v>Equipamento Odontológico completo, composto de cadeiraodontológica, refletor, unidade auxiliar e equipo com 5 pontas;seringa tríplice, 1 micromotor, 1turbinas, 1 de jato de bicarbonato e 1de Ultrassom Kavo Aqia</v>
      </c>
      <c r="C19" s="42" t="str">
        <f>Item8!C3</f>
        <v>unidade</v>
      </c>
      <c r="D19" s="42">
        <f>Item8!D3</f>
        <v>1</v>
      </c>
      <c r="E19" s="44">
        <f>Item8!E3</f>
        <v>17904</v>
      </c>
      <c r="F19" s="44">
        <f t="shared" si="0"/>
        <v>17904</v>
      </c>
    </row>
    <row r="20" spans="1:6">
      <c r="A20" s="42">
        <v>9</v>
      </c>
      <c r="B20" s="43" t="str">
        <f>Item9!B3</f>
        <v>Aparelho de Raio X Dabi-Atlante Spectrum 70X</v>
      </c>
      <c r="C20" s="42" t="str">
        <f>Item9!C3</f>
        <v>unidade</v>
      </c>
      <c r="D20" s="42">
        <f>Item9!D3</f>
        <v>1</v>
      </c>
      <c r="E20" s="44">
        <f>Item9!E3</f>
        <v>11592</v>
      </c>
      <c r="F20" s="44">
        <f t="shared" si="0"/>
        <v>11592</v>
      </c>
    </row>
    <row r="21" spans="1:6" ht="15.75">
      <c r="A21" s="39"/>
      <c r="B21" s="39"/>
      <c r="C21" s="73" t="s">
        <v>20</v>
      </c>
      <c r="D21" s="74"/>
      <c r="E21" s="75"/>
      <c r="F21" s="40">
        <f>SUM(F12:F20)</f>
        <v>74814</v>
      </c>
    </row>
  </sheetData>
  <mergeCells count="2">
    <mergeCell ref="A10:F10"/>
    <mergeCell ref="C21:E21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&amp;LEstimativa em 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view="pageBreakPreview" zoomScaleNormal="100" zoomScaleSheetLayoutView="100" workbookViewId="0">
      <selection activeCell="C18" sqref="C18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MERKAPCLIN</v>
      </c>
      <c r="C3" s="77"/>
      <c r="D3" s="77"/>
      <c r="E3" s="77"/>
      <c r="F3" s="78"/>
    </row>
    <row r="4" spans="1:6" s="2" customFormat="1">
      <c r="A4" s="42">
        <v>1</v>
      </c>
      <c r="B4" s="43" t="str">
        <f>Item1!B3</f>
        <v>Ultrassom Gnatus Jet Sonic</v>
      </c>
      <c r="C4" s="42" t="str">
        <f>Item1!C3</f>
        <v>unidade</v>
      </c>
      <c r="D4" s="42">
        <f>Item1!D3</f>
        <v>1</v>
      </c>
      <c r="E4" s="44">
        <f>Item1!F3</f>
        <v>3216</v>
      </c>
      <c r="F4" s="44">
        <f>(ROUND(E4,2)*D4)</f>
        <v>3216</v>
      </c>
    </row>
    <row r="5" spans="1:6" s="2" customFormat="1" ht="17.25">
      <c r="A5" s="45" t="s">
        <v>22</v>
      </c>
      <c r="B5" s="76" t="str">
        <f>Item2!G20</f>
        <v>MERKAPCLIN</v>
      </c>
      <c r="C5" s="77"/>
      <c r="D5" s="77"/>
      <c r="E5" s="77"/>
      <c r="F5" s="78"/>
    </row>
    <row r="6" spans="1:6">
      <c r="A6" s="42">
        <v>2</v>
      </c>
      <c r="B6" s="43" t="str">
        <f>Item2!B3</f>
        <v>Amalgamador Odontotmix</v>
      </c>
      <c r="C6" s="42" t="str">
        <f>Item2!C3</f>
        <v>unidade</v>
      </c>
      <c r="D6" s="42">
        <f>Item2!D3</f>
        <v>1</v>
      </c>
      <c r="E6" s="44">
        <f>Item2!F3</f>
        <v>2016</v>
      </c>
      <c r="F6" s="44">
        <f>(ROUND(E6,2)*D6)</f>
        <v>2016</v>
      </c>
    </row>
    <row r="7" spans="1:6" ht="17.25">
      <c r="A7" s="45" t="s">
        <v>22</v>
      </c>
      <c r="B7" s="79" t="str">
        <f>Item3!G20</f>
        <v>MERKAPCLIN</v>
      </c>
      <c r="C7" s="80"/>
      <c r="D7" s="80"/>
      <c r="E7" s="80"/>
      <c r="F7" s="81"/>
    </row>
    <row r="8" spans="1:6">
      <c r="A8" s="42">
        <v>3</v>
      </c>
      <c r="B8" s="43" t="str">
        <f>Item3!B3</f>
        <v>Fotopolimerizador Schuster Emitter C</v>
      </c>
      <c r="C8" s="42" t="str">
        <f>Item3!C3</f>
        <v>unidade</v>
      </c>
      <c r="D8" s="42">
        <f>Item3!D3</f>
        <v>1</v>
      </c>
      <c r="E8" s="44">
        <f>Item3!F3</f>
        <v>1176</v>
      </c>
      <c r="F8" s="44">
        <f>(ROUND(E8,2)*D8)</f>
        <v>1176</v>
      </c>
    </row>
    <row r="9" spans="1:6" ht="12.75" customHeight="1">
      <c r="A9" s="45" t="s">
        <v>22</v>
      </c>
      <c r="B9" s="79" t="str">
        <f>Item4!G20</f>
        <v>MERKAPCLIN</v>
      </c>
      <c r="C9" s="80"/>
      <c r="D9" s="80"/>
      <c r="E9" s="80"/>
      <c r="F9" s="81"/>
    </row>
    <row r="10" spans="1:6">
      <c r="A10" s="42">
        <v>4</v>
      </c>
      <c r="B10" s="43" t="str">
        <f>Item4!B3</f>
        <v>Fotopolimerizador Microdent BlueStar +</v>
      </c>
      <c r="C10" s="42" t="str">
        <f>Item4!C3</f>
        <v>unidade</v>
      </c>
      <c r="D10" s="42">
        <f>Item4!D3</f>
        <v>1</v>
      </c>
      <c r="E10" s="44">
        <f>Item4!F3</f>
        <v>1176</v>
      </c>
      <c r="F10" s="44">
        <f>(ROUND(E10,2)*D10)</f>
        <v>1176</v>
      </c>
    </row>
    <row r="11" spans="1:6" ht="17.25">
      <c r="A11" s="45" t="s">
        <v>22</v>
      </c>
      <c r="B11" s="76" t="str">
        <f>Item5!G20</f>
        <v>MERKAPCLIN</v>
      </c>
      <c r="C11" s="77"/>
      <c r="D11" s="77"/>
      <c r="E11" s="77"/>
      <c r="F11" s="78"/>
    </row>
    <row r="12" spans="1:6">
      <c r="A12" s="42">
        <v>5</v>
      </c>
      <c r="B12" s="43" t="str">
        <f>Item5!B3</f>
        <v>Autoclave 1 Lister</v>
      </c>
      <c r="C12" s="42" t="str">
        <f>Item5!C3</f>
        <v>unidade</v>
      </c>
      <c r="D12" s="42">
        <f>Item5!D3</f>
        <v>1</v>
      </c>
      <c r="E12" s="44">
        <f>Item5!F3</f>
        <v>2232</v>
      </c>
      <c r="F12" s="44">
        <f>(ROUND(E12,2)*D12)</f>
        <v>2232</v>
      </c>
    </row>
    <row r="13" spans="1:6" ht="17.25">
      <c r="A13" s="45" t="s">
        <v>22</v>
      </c>
      <c r="B13" s="76" t="str">
        <f>Item6!G20</f>
        <v>MERKAPCLIN</v>
      </c>
      <c r="C13" s="77"/>
      <c r="D13" s="77"/>
      <c r="E13" s="77"/>
      <c r="F13" s="78"/>
    </row>
    <row r="14" spans="1:6">
      <c r="A14" s="42">
        <v>6</v>
      </c>
      <c r="B14" s="43" t="str">
        <f>Item6!B3</f>
        <v>Autoclave 2 AHMC Sercon</v>
      </c>
      <c r="C14" s="42" t="str">
        <f>Item6!C3</f>
        <v>unidade</v>
      </c>
      <c r="D14" s="42">
        <f>Item6!D3</f>
        <v>1</v>
      </c>
      <c r="E14" s="44">
        <f>Item6!F3</f>
        <v>4416</v>
      </c>
      <c r="F14" s="44">
        <f>(ROUND(E14,2)*D14)</f>
        <v>4416</v>
      </c>
    </row>
    <row r="15" spans="1:6" ht="17.25">
      <c r="A15" s="45" t="s">
        <v>22</v>
      </c>
      <c r="B15" s="76" t="str">
        <f>Item7!G20</f>
        <v>MERKAPCLIN</v>
      </c>
      <c r="C15" s="77"/>
      <c r="D15" s="77"/>
      <c r="E15" s="77"/>
      <c r="F15" s="78"/>
    </row>
    <row r="16" spans="1:6" ht="25.5">
      <c r="A16" s="42">
        <v>7</v>
      </c>
      <c r="B16" s="43" t="str">
        <f>Item7!B3</f>
        <v>Equipamento Odontológico completo, composto de cadeiraodontológica, refletor , unidade auxiliar e equipo com 4 pontas:seringa tríplice, 1 micromotor e 2turbinas Dabi-Atlante Croma</v>
      </c>
      <c r="C16" s="42" t="str">
        <f>Item7!C3</f>
        <v>unidade</v>
      </c>
      <c r="D16" s="42">
        <f>Item7!D3</f>
        <v>1</v>
      </c>
      <c r="E16" s="44">
        <f>Item7!F3</f>
        <v>4776</v>
      </c>
      <c r="F16" s="44">
        <f>(ROUND(E16,2)*D16)</f>
        <v>4776</v>
      </c>
    </row>
    <row r="17" spans="1:6" ht="17.25">
      <c r="A17" s="45" t="s">
        <v>22</v>
      </c>
      <c r="B17" s="76" t="str">
        <f>Item8!G20</f>
        <v>MERKAPCLIN</v>
      </c>
      <c r="C17" s="77"/>
      <c r="D17" s="77"/>
      <c r="E17" s="77"/>
      <c r="F17" s="78"/>
    </row>
    <row r="18" spans="1:6" ht="38.25">
      <c r="A18" s="42">
        <v>8</v>
      </c>
      <c r="B18" s="43" t="str">
        <f>Item8!B3</f>
        <v>Equipamento Odontológico completo, composto de cadeiraodontológica, refletor, unidade auxiliar e equipo com 5 pontas;seringa tríplice, 1 micromotor, 1turbinas, 1 de jato de bicarbonato e 1de Ultrassom Kavo Aqia</v>
      </c>
      <c r="C18" s="42" t="str">
        <f>Item8!C3</f>
        <v>unidade</v>
      </c>
      <c r="D18" s="42">
        <f>Item8!D3</f>
        <v>1</v>
      </c>
      <c r="E18" s="44">
        <f>Item8!F3</f>
        <v>5616</v>
      </c>
      <c r="F18" s="44">
        <f>(ROUND(E18,2)*D18)</f>
        <v>5616</v>
      </c>
    </row>
    <row r="19" spans="1:6" ht="17.25">
      <c r="A19" s="45" t="s">
        <v>22</v>
      </c>
      <c r="B19" s="76" t="str">
        <f>Item9!G20</f>
        <v>MERKAPCLIN</v>
      </c>
      <c r="C19" s="77"/>
      <c r="D19" s="77"/>
      <c r="E19" s="77"/>
      <c r="F19" s="78"/>
    </row>
    <row r="20" spans="1:6">
      <c r="A20" s="42">
        <v>9</v>
      </c>
      <c r="B20" s="43" t="str">
        <f>Item9!B3</f>
        <v>Aparelho de Raio X Dabi-Atlante Spectrum 70X</v>
      </c>
      <c r="C20" s="42" t="str">
        <f>Item9!C3</f>
        <v>unidade</v>
      </c>
      <c r="D20" s="42">
        <f>Item9!D3</f>
        <v>1</v>
      </c>
      <c r="E20" s="44">
        <f>Item9!F3</f>
        <v>4776</v>
      </c>
      <c r="F20" s="44">
        <f>(ROUND(E20,2)*D20)</f>
        <v>4776</v>
      </c>
    </row>
    <row r="21" spans="1:6" ht="15.75">
      <c r="A21" s="39"/>
      <c r="B21" s="39"/>
      <c r="C21" s="73" t="s">
        <v>23</v>
      </c>
      <c r="D21" s="74"/>
      <c r="E21" s="75"/>
      <c r="F21" s="40">
        <f>SUM(F4:F20)</f>
        <v>29400</v>
      </c>
    </row>
  </sheetData>
  <mergeCells count="11">
    <mergeCell ref="A1:F1"/>
    <mergeCell ref="B3:F3"/>
    <mergeCell ref="C21:E21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51</v>
      </c>
      <c r="C3" s="54" t="s">
        <v>8</v>
      </c>
      <c r="D3" s="57">
        <v>1</v>
      </c>
      <c r="E3" s="60">
        <f>IF(C20&lt;=25%,D20,MIN(E20:F20))</f>
        <v>2992</v>
      </c>
      <c r="F3" s="60">
        <f>MIN(H3:H17)</f>
        <v>2016</v>
      </c>
      <c r="G3" s="5" t="s">
        <v>47</v>
      </c>
      <c r="H3" s="14">
        <v>3600</v>
      </c>
      <c r="I3" s="30">
        <f>IF(H3="","",(IF($C$20&lt;25%,"N/A",IF(H3&lt;=($D$20+$A$20),H3,"Descartado"))))</f>
        <v>3600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2016</v>
      </c>
      <c r="I4" s="30">
        <f t="shared" ref="I4:I17" si="0">IF(H4="","",(IF($C$20&lt;25%,"N/A",IF(H4&lt;=($D$20+$A$20),H4,"Descartado"))))</f>
        <v>2016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3360</v>
      </c>
      <c r="I5" s="30">
        <f t="shared" si="0"/>
        <v>3360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7200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2216.4620456935418</v>
      </c>
      <c r="B20" s="20">
        <f>COUNT(H3:H17)</f>
        <v>4</v>
      </c>
      <c r="C20" s="21">
        <f>IF(B20&lt;2,"N/A",(A20/D20))</f>
        <v>0.54808655927140004</v>
      </c>
      <c r="D20" s="22">
        <f>ROUND(AVERAGE(H3:H17),2)</f>
        <v>4044</v>
      </c>
      <c r="E20" s="23">
        <f>IFERROR(ROUND(IF(B20&lt;2,"N/A",(IF(C20&lt;=25%,"N/A",AVERAGE(I3:I17)))),2),"N/A")</f>
        <v>2992</v>
      </c>
      <c r="F20" s="23">
        <f>ROUND(MEDIAN(H3:H17),2)</f>
        <v>3480</v>
      </c>
      <c r="G20" s="24" t="str">
        <f>INDEX(G3:G17,MATCH(H20,H3:H17,0))</f>
        <v>MERKAPCLIN</v>
      </c>
      <c r="H20" s="25">
        <f>MIN(H3:H17)</f>
        <v>2016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2992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2992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52</v>
      </c>
      <c r="C3" s="54" t="s">
        <v>8</v>
      </c>
      <c r="D3" s="57">
        <v>1</v>
      </c>
      <c r="E3" s="60">
        <f>IF(C20&lt;=25%,D20,MIN(E20:F20))</f>
        <v>2712</v>
      </c>
      <c r="F3" s="60">
        <f>MIN(H3:H17)</f>
        <v>1176</v>
      </c>
      <c r="G3" s="5" t="s">
        <v>47</v>
      </c>
      <c r="H3" s="14">
        <v>3600</v>
      </c>
      <c r="I3" s="30">
        <f>IF(H3="","",(IF($C$20&lt;25%,"N/A",IF(H3&lt;=($D$20+$A$20),H3,"Descartado"))))</f>
        <v>3600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1176</v>
      </c>
      <c r="I4" s="30">
        <f t="shared" ref="I4:I17" si="0">IF(H4="","",(IF($C$20&lt;25%,"N/A",IF(H4&lt;=($D$20+$A$20),H4,"Descartado"))))</f>
        <v>1176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3360</v>
      </c>
      <c r="I5" s="30">
        <f t="shared" si="0"/>
        <v>3360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7800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2767.8843906492916</v>
      </c>
      <c r="B20" s="20">
        <f>COUNT(H3:H17)</f>
        <v>4</v>
      </c>
      <c r="C20" s="21">
        <f>IF(B20&lt;2,"N/A",(A20/D20))</f>
        <v>0.69475009805454102</v>
      </c>
      <c r="D20" s="22">
        <f>ROUND(AVERAGE(H3:H17),2)</f>
        <v>3984</v>
      </c>
      <c r="E20" s="23">
        <f>IFERROR(ROUND(IF(B20&lt;2,"N/A",(IF(C20&lt;=25%,"N/A",AVERAGE(I3:I17)))),2),"N/A")</f>
        <v>2712</v>
      </c>
      <c r="F20" s="23">
        <f>ROUND(MEDIAN(H3:H17),2)</f>
        <v>3480</v>
      </c>
      <c r="G20" s="24" t="str">
        <f>INDEX(G3:G17,MATCH(H20,H3:H17,0))</f>
        <v>MERKAPCLIN</v>
      </c>
      <c r="H20" s="25">
        <f>MIN(H3:H17)</f>
        <v>1176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2712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2712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53</v>
      </c>
      <c r="C3" s="54" t="s">
        <v>8</v>
      </c>
      <c r="D3" s="57">
        <v>1</v>
      </c>
      <c r="E3" s="60">
        <f>IF(C20&lt;=25%,D20,MIN(E20:F20))</f>
        <v>2712</v>
      </c>
      <c r="F3" s="60">
        <f>MIN(H3:H17)</f>
        <v>1176</v>
      </c>
      <c r="G3" s="5" t="s">
        <v>47</v>
      </c>
      <c r="H3" s="14">
        <v>3600</v>
      </c>
      <c r="I3" s="30">
        <f>IF(H3="","",(IF($C$20&lt;25%,"N/A",IF(H3&lt;=($D$20+$A$20),H3,"Descartado"))))</f>
        <v>3600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1176</v>
      </c>
      <c r="I4" s="30">
        <f t="shared" ref="I4:I17" si="0">IF(H4="","",(IF($C$20&lt;25%,"N/A",IF(H4&lt;=($D$20+$A$20),H4,"Descartado"))))</f>
        <v>1176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3360</v>
      </c>
      <c r="I5" s="30">
        <f t="shared" si="0"/>
        <v>3360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7200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2494.9517029393573</v>
      </c>
      <c r="B20" s="20">
        <f>COUNT(H3:H17)</f>
        <v>4</v>
      </c>
      <c r="C20" s="21">
        <f>IF(B20&lt;2,"N/A",(A20/D20))</f>
        <v>0.65074379315058872</v>
      </c>
      <c r="D20" s="22">
        <f>ROUND(AVERAGE(H3:H17),2)</f>
        <v>3834</v>
      </c>
      <c r="E20" s="23">
        <f>IFERROR(ROUND(IF(B20&lt;2,"N/A",(IF(C20&lt;=25%,"N/A",AVERAGE(I3:I17)))),2),"N/A")</f>
        <v>2712</v>
      </c>
      <c r="F20" s="23">
        <f>ROUND(MEDIAN(H3:H17),2)</f>
        <v>3480</v>
      </c>
      <c r="G20" s="24" t="str">
        <f>INDEX(G3:G17,MATCH(H20,H3:H17,0))</f>
        <v>MERKAPCLIN</v>
      </c>
      <c r="H20" s="25">
        <f>MIN(H3:H17)</f>
        <v>1176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2712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2712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54</v>
      </c>
      <c r="C3" s="54" t="s">
        <v>8</v>
      </c>
      <c r="D3" s="57">
        <v>1</v>
      </c>
      <c r="E3" s="60">
        <f>IF(C20&lt;=25%,D20,MIN(E20:F20))</f>
        <v>6344</v>
      </c>
      <c r="F3" s="60">
        <f>MIN(H3:H17)</f>
        <v>2232</v>
      </c>
      <c r="G3" s="5" t="s">
        <v>47</v>
      </c>
      <c r="H3" s="14">
        <v>6000</v>
      </c>
      <c r="I3" s="30">
        <f>IF(H3="","",(IF($C$20&lt;25%,"N/A",IF(H3&lt;=($D$20+$A$20),H3,"Descartado"))))</f>
        <v>6000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2232</v>
      </c>
      <c r="I4" s="30">
        <f t="shared" ref="I4:I17" si="0">IF(H4="","",(IF($C$20&lt;25%,"N/A",IF(H4&lt;=($D$20+$A$20),H4,"Descartado"))))</f>
        <v>2232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30000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10800</v>
      </c>
      <c r="I6" s="30">
        <f t="shared" si="0"/>
        <v>10800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12336.768458555101</v>
      </c>
      <c r="B20" s="20">
        <f>COUNT(H3:H17)</f>
        <v>4</v>
      </c>
      <c r="C20" s="21">
        <f>IF(B20&lt;2,"N/A",(A20/D20))</f>
        <v>1.0064258817551885</v>
      </c>
      <c r="D20" s="22">
        <f>ROUND(AVERAGE(H3:H17),2)</f>
        <v>12258</v>
      </c>
      <c r="E20" s="23">
        <f>IFERROR(ROUND(IF(B20&lt;2,"N/A",(IF(C20&lt;=25%,"N/A",AVERAGE(I3:I17)))),2),"N/A")</f>
        <v>6344</v>
      </c>
      <c r="F20" s="23">
        <f>ROUND(MEDIAN(H3:H17),2)</f>
        <v>8400</v>
      </c>
      <c r="G20" s="24" t="str">
        <f>INDEX(G3:G17,MATCH(H20,H3:H17,0))</f>
        <v>MERKAPCLIN</v>
      </c>
      <c r="H20" s="25">
        <f>MIN(H3:H17)</f>
        <v>2232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6344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6344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55</v>
      </c>
      <c r="C3" s="54" t="s">
        <v>8</v>
      </c>
      <c r="D3" s="57">
        <v>1</v>
      </c>
      <c r="E3" s="60">
        <f>IF(C20&lt;=25%,D20,MIN(E20:F20))</f>
        <v>8672</v>
      </c>
      <c r="F3" s="60">
        <f>MIN(H3:H17)</f>
        <v>4416</v>
      </c>
      <c r="G3" s="5" t="s">
        <v>47</v>
      </c>
      <c r="H3" s="14">
        <v>6000</v>
      </c>
      <c r="I3" s="30">
        <f>IF(H3="","",(IF($C$20&lt;25%,"N/A",IF(H3&lt;=($D$20+$A$20),H3,"Descartado"))))</f>
        <v>6000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4416</v>
      </c>
      <c r="I4" s="30">
        <f t="shared" ref="I4:I17" si="0">IF(H4="","",(IF($C$20&lt;25%,"N/A",IF(H4&lt;=($D$20+$A$20),H4,"Descartado"))))</f>
        <v>4416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21600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15600</v>
      </c>
      <c r="I6" s="30">
        <f t="shared" si="0"/>
        <v>15600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8136.3421756954149</v>
      </c>
      <c r="B20" s="20">
        <f>COUNT(H3:H17)</f>
        <v>4</v>
      </c>
      <c r="C20" s="21">
        <f>IF(B20&lt;2,"N/A",(A20/D20))</f>
        <v>0.68349648653355299</v>
      </c>
      <c r="D20" s="22">
        <f>ROUND(AVERAGE(H3:H17),2)</f>
        <v>11904</v>
      </c>
      <c r="E20" s="23">
        <f>IFERROR(ROUND(IF(B20&lt;2,"N/A",(IF(C20&lt;=25%,"N/A",AVERAGE(I3:I17)))),2),"N/A")</f>
        <v>8672</v>
      </c>
      <c r="F20" s="23">
        <f>ROUND(MEDIAN(H3:H17),2)</f>
        <v>10800</v>
      </c>
      <c r="G20" s="24" t="str">
        <f>INDEX(G3:G17,MATCH(H20,H3:H17,0))</f>
        <v>MERKAPCLIN</v>
      </c>
      <c r="H20" s="25">
        <f>MIN(H3:H17)</f>
        <v>4416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8672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8672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57</v>
      </c>
      <c r="C3" s="54" t="s">
        <v>8</v>
      </c>
      <c r="D3" s="57">
        <v>1</v>
      </c>
      <c r="E3" s="60">
        <f>IF(C20&lt;=25%,D20,MIN(E20:F20))</f>
        <v>17694</v>
      </c>
      <c r="F3" s="60">
        <f>MIN(H3:H17)</f>
        <v>4776</v>
      </c>
      <c r="G3" s="5" t="s">
        <v>47</v>
      </c>
      <c r="H3" s="14">
        <v>18000</v>
      </c>
      <c r="I3" s="30">
        <f>IF(H3="","",(IF($C$20&lt;25%,"N/A",IF(H3&lt;=($D$20+$A$20),H3,"Descartado"))))</f>
        <v>18000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4776</v>
      </c>
      <c r="I4" s="30">
        <f t="shared" ref="I4:I17" si="0">IF(H4="","",(IF($C$20&lt;25%,"N/A",IF(H4&lt;=($D$20+$A$20),H4,"Descartado"))))</f>
        <v>4776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24000</v>
      </c>
      <c r="I5" s="30">
        <f t="shared" si="0"/>
        <v>24000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24000</v>
      </c>
      <c r="I6" s="30">
        <f t="shared" si="0"/>
        <v>24000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9064.5763276614307</v>
      </c>
      <c r="B20" s="20">
        <f>COUNT(H3:H17)</f>
        <v>4</v>
      </c>
      <c r="C20" s="21">
        <f>IF(B20&lt;2,"N/A",(A20/D20))</f>
        <v>0.5122966162349627</v>
      </c>
      <c r="D20" s="22">
        <f>ROUND(AVERAGE(H3:H17),2)</f>
        <v>17694</v>
      </c>
      <c r="E20" s="23">
        <f>IFERROR(ROUND(IF(B20&lt;2,"N/A",(IF(C20&lt;=25%,"N/A",AVERAGE(I3:I17)))),2),"N/A")</f>
        <v>17694</v>
      </c>
      <c r="F20" s="23">
        <f>ROUND(MEDIAN(H3:H17),2)</f>
        <v>21000</v>
      </c>
      <c r="G20" s="24" t="str">
        <f>INDEX(G3:G17,MATCH(H20,H3:H17,0))</f>
        <v>MERKAPCLIN</v>
      </c>
      <c r="H20" s="25">
        <f>MIN(H3:H17)</f>
        <v>4776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17694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17694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18" sqref="B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58</v>
      </c>
      <c r="C3" s="54" t="s">
        <v>8</v>
      </c>
      <c r="D3" s="57">
        <v>1</v>
      </c>
      <c r="E3" s="60">
        <f>IF(C20&lt;=25%,D20,MIN(E20:F20))</f>
        <v>17904</v>
      </c>
      <c r="F3" s="60">
        <f>MIN(H3:H17)</f>
        <v>5616</v>
      </c>
      <c r="G3" s="5" t="s">
        <v>47</v>
      </c>
      <c r="H3" s="14">
        <v>18000</v>
      </c>
      <c r="I3" s="30">
        <f>IF(H3="","",(IF($C$20&lt;25%,"N/A",IF(H3&lt;=($D$20+$A$20),H3,"Descartado"))))</f>
        <v>18000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5616</v>
      </c>
      <c r="I4" s="30">
        <f t="shared" ref="I4:I17" si="0">IF(H4="","",(IF($C$20&lt;25%,"N/A",IF(H4&lt;=($D$20+$A$20),H4,"Descartado"))))</f>
        <v>5616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24000</v>
      </c>
      <c r="I5" s="30">
        <f t="shared" si="0"/>
        <v>24000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24000</v>
      </c>
      <c r="I6" s="30">
        <f t="shared" si="0"/>
        <v>24000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8666.5370246713883</v>
      </c>
      <c r="B20" s="20">
        <f>COUNT(H3:H17)</f>
        <v>4</v>
      </c>
      <c r="C20" s="21">
        <f>IF(B20&lt;2,"N/A",(A20/D20))</f>
        <v>0.48405591067199444</v>
      </c>
      <c r="D20" s="22">
        <f>ROUND(AVERAGE(H3:H17),2)</f>
        <v>17904</v>
      </c>
      <c r="E20" s="23">
        <f>IFERROR(ROUND(IF(B20&lt;2,"N/A",(IF(C20&lt;=25%,"N/A",AVERAGE(I3:I17)))),2),"N/A")</f>
        <v>17904</v>
      </c>
      <c r="F20" s="23">
        <f>ROUND(MEDIAN(H3:H17),2)</f>
        <v>21000</v>
      </c>
      <c r="G20" s="24" t="str">
        <f>INDEX(G3:G17,MATCH(H20,H3:H17,0))</f>
        <v>MERKAPCLIN</v>
      </c>
      <c r="H20" s="25">
        <f>MIN(H3:H17)</f>
        <v>5616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17904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17904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56</v>
      </c>
      <c r="C3" s="54" t="s">
        <v>8</v>
      </c>
      <c r="D3" s="57">
        <v>1</v>
      </c>
      <c r="E3" s="60">
        <f>IF(C20&lt;=25%,D20,MIN(E20:F20))</f>
        <v>11592</v>
      </c>
      <c r="F3" s="60">
        <f>MIN(H3:H17)</f>
        <v>4776</v>
      </c>
      <c r="G3" s="5" t="s">
        <v>47</v>
      </c>
      <c r="H3" s="14">
        <v>6000</v>
      </c>
      <c r="I3" s="30">
        <f>IF(H3="","",(IF($C$20&lt;25%,"N/A",IF(H3&lt;=($D$20+$A$20),H3,"Descartado"))))</f>
        <v>6000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4776</v>
      </c>
      <c r="I4" s="30">
        <f t="shared" ref="I4:I17" si="0">IF(H4="","",(IF($C$20&lt;25%,"N/A",IF(H4&lt;=($D$20+$A$20),H4,"Descartado"))))</f>
        <v>4776</v>
      </c>
    </row>
    <row r="5" spans="1:9">
      <c r="A5" s="50"/>
      <c r="B5" s="52"/>
      <c r="C5" s="55"/>
      <c r="D5" s="58"/>
      <c r="E5" s="61"/>
      <c r="F5" s="61"/>
      <c r="G5" s="5" t="s">
        <v>49</v>
      </c>
      <c r="H5" s="14">
        <v>30000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24000</v>
      </c>
      <c r="I6" s="30">
        <f t="shared" si="0"/>
        <v>24000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12725.664776348622</v>
      </c>
      <c r="B20" s="20">
        <f>COUNT(H3:H17)</f>
        <v>4</v>
      </c>
      <c r="C20" s="21">
        <f>IF(B20&lt;2,"N/A",(A20/D20))</f>
        <v>0.78582590937066954</v>
      </c>
      <c r="D20" s="22">
        <f>ROUND(AVERAGE(H3:H17),2)</f>
        <v>16194</v>
      </c>
      <c r="E20" s="23">
        <f>IFERROR(ROUND(IF(B20&lt;2,"N/A",(IF(C20&lt;=25%,"N/A",AVERAGE(I3:I17)))),2),"N/A")</f>
        <v>11592</v>
      </c>
      <c r="F20" s="23">
        <f>ROUND(MEDIAN(H3:H17),2)</f>
        <v>15000</v>
      </c>
      <c r="G20" s="24" t="str">
        <f>INDEX(G3:G17,MATCH(H20,H3:H17,0))</f>
        <v>MERKAPCLIN</v>
      </c>
      <c r="H20" s="25">
        <f>MIN(H3:H17)</f>
        <v>4776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11592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11592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2021-10-07T22:26:23Z</cp:lastPrinted>
  <dcterms:created xsi:type="dcterms:W3CDTF">2019-01-16T20:04:04Z</dcterms:created>
  <dcterms:modified xsi:type="dcterms:W3CDTF">2021-11-30T12:07:28Z</dcterms:modified>
</cp:coreProperties>
</file>